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8395" windowHeight="14310" activeTab="0"/>
  </bookViews>
  <sheets>
    <sheet name="PVD12PVDRUGFI" sheetId="1" r:id="rId1"/>
  </sheets>
  <definedNames>
    <definedName name="_xlnm.Print_Area" localSheetId="0">'PVD12PVDRUGFI'!$A$1:$L$109</definedName>
    <definedName name="_xlnm.Print_Titles" localSheetId="0">'PVD12PVDRUGFI'!$1:$7</definedName>
  </definedNames>
  <calcPr calcMode="manual" fullCalcOnLoad="1"/>
</workbook>
</file>

<file path=xl/sharedStrings.xml><?xml version="1.0" encoding="utf-8"?>
<sst xmlns="http://schemas.openxmlformats.org/spreadsheetml/2006/main" count="144" uniqueCount="132">
  <si>
    <t>กองทุนสำรองเลี้ยงชีพ กลุ่มมหาวิทยาลัยราชภัฏ ซึ่งจดทะเบียนแล้ว  (นโยบายตราสารหนี้)</t>
  </si>
  <si>
    <t>งบแสดงรายละเอียดทรัพย์สินสุทธิ</t>
  </si>
  <si>
    <t>ณ. วันที่ 30 กันยายน 2559</t>
  </si>
  <si>
    <t>แบบรายงาน กช. 1.2</t>
  </si>
  <si>
    <t>จัดการโดย บริษัทหลักทรัพย์จัดการกองทุน ไทยพาณิชย์ จำกัด</t>
  </si>
  <si>
    <t>หน่วย : บาท</t>
  </si>
  <si>
    <t>จำนวนหน่วย/</t>
  </si>
  <si>
    <t>ราคาทุน</t>
  </si>
  <si>
    <t>ดอกเบี้ยค้างรับ</t>
  </si>
  <si>
    <t>ราคายุติธรรม</t>
  </si>
  <si>
    <t>อัตราส่วนของ</t>
  </si>
  <si>
    <t>อัตราดอกเบี้ย</t>
  </si>
  <si>
    <t>วันครบกำหนด</t>
  </si>
  <si>
    <t>มูลค่าที่ตราไว้</t>
  </si>
  <si>
    <t>1.</t>
  </si>
  <si>
    <t>พันธบัตร ตั๋วเงินคลัง หรือพันธบัตรธนาคารแห่งประเทศไทย</t>
  </si>
  <si>
    <t>1พันธบัตร ตั๋วเงินคลัง หรือพันธบัตรธนาคารแห่งประเทศไทย</t>
  </si>
  <si>
    <t>2.</t>
  </si>
  <si>
    <t>เงินฝากในธนาคารพาณิชย์ หรือธนาคารอื่นที่มีกฏหมายเฉพาะจัดตั้งขึ้น</t>
  </si>
  <si>
    <t>เงินฝากออมทรัพย์</t>
  </si>
  <si>
    <t>ธนาคารไทยพาณิชย์  จำกัด (มหาชน)</t>
  </si>
  <si>
    <t>ธนาคารไทยพาณิชย์  จำกัด (มหาชน) (-CACON-)</t>
  </si>
  <si>
    <t>เมื่อทวงถาม</t>
  </si>
  <si>
    <t>2เงินฝากออมทรัพย์ธนาคารไทยพาณิชย์  จำกัด (มหาชน)</t>
  </si>
  <si>
    <t>2เงินฝากออมทรัพย์</t>
  </si>
  <si>
    <t>ธนาคารไทยพาณิชย์  จำกัด (มหาชน) (-CASH SAVINGS-)</t>
  </si>
  <si>
    <t>3.</t>
  </si>
  <si>
    <t>บัตรเงินฝากที่ธนาคารพาณิชย์ หรือธนาคารอื่นที่มีกฏหมายเฉพาะจัดตั้งขึ้นเป็นผู้ออก</t>
  </si>
  <si>
    <t>3บัตรเงินฝากที่ธนาคารพาณิชย์ หรือธนาคารอื่นที่มีกฏหมายเฉพาะจัดตั้งขึ้นเป็นผู้ออกธนาคารไทยพาณิชย์  จำกัด (มหาชน)</t>
  </si>
  <si>
    <t>3บัตรเงินฝากที่ธนาคารพาณิชย์ หรือธนาคารอื่นที่มีกฏหมายเฉพาะจัดตั้งขึ้นเป็นผู้ออก</t>
  </si>
  <si>
    <t>4.</t>
  </si>
  <si>
    <t>ตราสารแห่งหนี้ที่กองทุนฟื้นฟูและพัฒนาระบบสถาบันการเงินเป็นผู้ออก</t>
  </si>
  <si>
    <t>4ตราสารแห่งหนี้ที่กองทุนฟื้นฟูและพัฒนาระบบสถาบันการเงินเป็นผู้ออกธนาคารไทยพาณิชย์  จำกัด (มหาชน)</t>
  </si>
  <si>
    <t>4ตราสารแห่งหนี้ที่กองทุนฟื้นฟูและพัฒนาระบบสถาบันการเงินเป็นผู้ออก</t>
  </si>
  <si>
    <t>5.</t>
  </si>
  <si>
    <t>ตราสารแห่งหนี้ที่รัฐวิสาหกิจที่มีกฏหมายเฉพาะจัดตั้งขึ้น</t>
  </si>
  <si>
    <t>5ตราสารแห่งหนี้ที่รัฐวิสาหกิจที่มีกฏหมายเฉพาะจัดตั้งขึ้นธนาคารไทยพาณิชย์  จำกัด (มหาชน)</t>
  </si>
  <si>
    <t>5ตราสารแห่งหนี้ที่รัฐวิสาหกิจที่มีกฏหมายเฉพาะจัดตั้งขึ้น</t>
  </si>
  <si>
    <t>6.</t>
  </si>
  <si>
    <t>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</t>
  </si>
  <si>
    <t>6ตั๋วแลกเงิน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รับอาวัลหรือสลักหลังธนาคารไทยพาณิชย์  จำกัด (มหาชน)</t>
  </si>
  <si>
    <t>6ตั๋วแลกเงิน หรือตั๋วสัญญาใช้เงินที่ธนาคารพาณิชย์หรือธนาคารอื่นที่มีกฏหมายเฉพาะจัดตั้งขึ้นเป็นผู้รับรอง รับอาวัลหรือสลักหลัง</t>
  </si>
  <si>
    <t>7.</t>
  </si>
  <si>
    <t>ตราสารแห่งหนี้ที่ธนาคารพาณิชย์หรือธนาคารอื่นที่มีกฏหมายเฉพาะจัดตั้งขี้นเป็นผู้ออก</t>
  </si>
  <si>
    <t>7ตราสารแห่งหนี้ที่ธนาคารพาณิชย์หรือธนาคารอื่นที่มีกฏหมายเฉพาะจัดตั้งขี้นเป็นผู้ออกธนาคารไทยพาณิชย์  จำกัด (มหาชน)</t>
  </si>
  <si>
    <t>7ตราสารแห่งหนี้ที่ธนาคารพาณิชย์หรือธนาคารอื่นที่มีกฏหมายเฉพาะจัดตั้งขี้นเป็นผู้ออก</t>
  </si>
  <si>
    <t>8.</t>
  </si>
  <si>
    <t>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</t>
  </si>
  <si>
    <t>8ตราสารแห่งหนี้ที่บรรษัทประกันสินเชื่ออุตสาหกรรมขนาดย่อม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หรือรัฐวิสาหกิจตามกฏหมายว่าด้วยวธนาคารไทยพาณิชย์  จำกัด (มหาชน)</t>
  </si>
  <si>
    <t>8ตราสารแห่งหนี้ที่บรรษัทประกันสินเชื่ออุตสาหกรรมขนาดย่อม บรรษัทเงินทุนอุตสาหกรรมขนาดย่อม บรรษัทเงินทุนอุตสาหกรรมแห่งประเทศไทย บริษัทหลักทรัพย์เพื่อธุรกิจหลักทรัพย์จำกัด หรือรัฐวิสาหกิจตามกฏหมายว่าด้วยว</t>
  </si>
  <si>
    <t>9.</t>
  </si>
  <si>
    <t>บัตรเงินฝากที่บริษัทเงินทุน หรือบริษัทเครดิตฟองซิเอร์เป็นผู้ออก</t>
  </si>
  <si>
    <t>9บัตรเงินฝากที่บริษัทเงินทุน หรือบริษัทเครดิตฟองซิเอร์เป็นผู้ออกธนาคารไทยพาณิชย์  จำกัด (มหาชน)</t>
  </si>
  <si>
    <t>9บัตรเงินฝากที่บริษัทเงินทุน หรือบริษัทเครดิตฟองซิเอร์เป็นผู้ออก</t>
  </si>
  <si>
    <t>10.</t>
  </si>
  <si>
    <t>ตราสารแห่งหนี้ที่บริษัทเงินทุน หรือบริษัทเครดิตฟองซิเอร์เป็นผู้ออก</t>
  </si>
  <si>
    <t>10ตราสารแห่งหนี้ที่บริษัทเงินทุน หรือบริษัทเครดิตฟองซิเอร์เป็นผู้ออกธนาคารไทยพาณิชย์  จำกัด (มหาชน)</t>
  </si>
  <si>
    <t>10ตราสารแห่งหนี้ที่บริษัทเงินทุน หรือบริษัทเครดิตฟองซิเอร์เป็นผู้ออก</t>
  </si>
  <si>
    <t>11.</t>
  </si>
  <si>
    <t>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</t>
  </si>
  <si>
    <t>11ตั๋วแลกเงิน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หรือผู้รับสลักหลังธนาคารไทยพาณิชย์  จำกัด (มหาชน)</t>
  </si>
  <si>
    <t>11ตั๋วแลกเงิน หรือตั๋วสัญญาใช้เงินที่บริษัทเงินทุนหรือบริษัทเครดิตฟองซิเอร์เป็นผู้รับรอง ผู้รับอาวัล หรือผู้รับสลักหลัง</t>
  </si>
  <si>
    <t>12.</t>
  </si>
  <si>
    <t>ตราสารแห่งหนี้ที่บริษัทจำกัดเป็นผู้ออก</t>
  </si>
  <si>
    <t>12ตราสารแห่งหนี้ที่บริษัทจำกัดเป็นผู้ออกธนาคารไทยพาณิชย์  จำกัด (มหาชน)</t>
  </si>
  <si>
    <t>12ตราสารแห่งหนี้ที่บริษัทจำกัดเป็นผู้ออก</t>
  </si>
  <si>
    <t>13.</t>
  </si>
  <si>
    <t>ตราสารแสดงสิทธิในหน่วยลงทุนและใบสำคัญแสดงสิทธิที่จะซื้อหน่วยลงทุน</t>
  </si>
  <si>
    <t>หน่วยลงทุน</t>
  </si>
  <si>
    <t>บลจ. ไทยพาณิชย์ จำกัด</t>
  </si>
  <si>
    <t>กองทุนเปิดไทยพาณิชย์ตราสารหนี้ พลัส (SCBFP)</t>
  </si>
  <si>
    <t>13หน่วยลงทุนบลจ. ไทยพาณิชย์ จำกัด</t>
  </si>
  <si>
    <t>13หน่วยลงทุน</t>
  </si>
  <si>
    <t>14.</t>
  </si>
  <si>
    <t>ธุรกรรมการซื้อโดยมีสัญญาขายคืน</t>
  </si>
  <si>
    <t>14ธุรกรรมการซื้อโดยมีสัญญาขายคืนบลจ. ไทยพาณิชย์ จำกัด</t>
  </si>
  <si>
    <t>14ธุรกรรมการซื้อโดยมีสัญญาขายคืน</t>
  </si>
  <si>
    <t>15.</t>
  </si>
  <si>
    <t>ธุรกรรมการให้ยืมหลักทรัพย์</t>
  </si>
  <si>
    <t>15ธุรกรรมการให้ยืมหลักทรัพย์บลจ. ไทยพาณิชย์ จำกัด</t>
  </si>
  <si>
    <t>15ธุรกรรมการให้ยืมหลักทรัพย์</t>
  </si>
  <si>
    <t>16.</t>
  </si>
  <si>
    <t>หุ้นบุริมสิทธิ์และใบสำคัญแสดงสิทธิที่จะซื้อหุ้นบุริมสิทธิ์</t>
  </si>
  <si>
    <t>16หุ้นบุริมสิทธิ์และใบสำคัญแสดงสิทธิที่จะซื้อหุ้นบุริมสิทธิ์บลจ. ไทยพาณิชย์ จำกัด</t>
  </si>
  <si>
    <t>16หุ้นบุริมสิทธิ์และใบสำคัญแสดงสิทธิที่จะซื้อหุ้นบุริมสิทธิ์</t>
  </si>
  <si>
    <t>17.</t>
  </si>
  <si>
    <t>หุ้นและใบสำคัญแสดงสิทธิที่จะซื้อหุ้น</t>
  </si>
  <si>
    <t>17หุ้นและใบสำคัญแสดงสิทธิที่จะซื้อหุ้นบลจ. ไทยพาณิชย์ จำกัด</t>
  </si>
  <si>
    <t>17หุ้นและใบสำคัญแสดงสิทธิที่จะซื้อหุ้น</t>
  </si>
  <si>
    <t>18.</t>
  </si>
  <si>
    <t>หลักทรัพย์หรือทรัพย์สินอื่นที่สำนักงานประกาศกำหนด</t>
  </si>
  <si>
    <t>18หลักทรัพย์หรือทรัพย์สินอื่นที่สำนักงานประกาศกำหนดบลจ. ไทยพาณิชย์ จำกัด</t>
  </si>
  <si>
    <t>18หลักทรัพย์หรือทรัพย์สินอื่นที่สำนักงานประกาศกำหนด</t>
  </si>
  <si>
    <t>รวมเงินลงทุนและเงินฝากธนาคารเพื่อการดำเนินงาน</t>
  </si>
  <si>
    <t>19.</t>
  </si>
  <si>
    <t>ลูกหนึ้จากการขายหลักทรัพย์</t>
  </si>
  <si>
    <t>19ลูกหนึ้จากการขายหลักทรัพย์บลจ. ไทยพาณิชย์ จำกัด</t>
  </si>
  <si>
    <t>19ลูกหนึ้จากการขายหลักทรัพย์</t>
  </si>
  <si>
    <t>20.</t>
  </si>
  <si>
    <t>เงินปันผลค้างรับ</t>
  </si>
  <si>
    <t>20เงินปันผลค้างรับบลจ. ไทยพาณิชย์ จำกัด</t>
  </si>
  <si>
    <t>20เงินปันผลค้างรับ</t>
  </si>
  <si>
    <t>21.</t>
  </si>
  <si>
    <t>ลูกหนี้อื่น ๆ</t>
  </si>
  <si>
    <t>21ลูกหนี้อื่น ๆบลจ. ไทยพาณิชย์ จำกัด</t>
  </si>
  <si>
    <t>21ลูกหนี้อื่น ๆ</t>
  </si>
  <si>
    <t>22.</t>
  </si>
  <si>
    <t>เจ้าหนี้จากการซื้อหลักทรัพย์</t>
  </si>
  <si>
    <t>22เจ้าหนี้จากการซื้อหลักทรัพย์บลจ. ไทยพาณิชย์ จำกัด</t>
  </si>
  <si>
    <t>22เจ้าหนี้จากการซื้อหลักทรัพย์</t>
  </si>
  <si>
    <t>23.</t>
  </si>
  <si>
    <t>เงินสะสมสมทบรอการจัดสรร</t>
  </si>
  <si>
    <t>23เงินสะสมสมทบรอการจัดสรรบลจ. ไทยพาณิชย์ จำกัด</t>
  </si>
  <si>
    <t>23เงินสะสมสมทบรอการจัดสรร</t>
  </si>
  <si>
    <t>24.</t>
  </si>
  <si>
    <t>เจ้าหนี้อื่น ๆ</t>
  </si>
  <si>
    <t>24เจ้าหนี้อื่น ๆบลจ. ไทยพาณิชย์ จำกัด</t>
  </si>
  <si>
    <t>24เจ้าหนี้อื่น ๆ</t>
  </si>
  <si>
    <t>รวมทรัพย์สินสุทธิ</t>
  </si>
  <si>
    <t>จำนวนหน่วยรวม</t>
  </si>
  <si>
    <t>101จำนวนหน่วยรวมบลจ. ไทยพาณิชย์ จำกัด</t>
  </si>
  <si>
    <t>101จำนวนหน่วยรวม</t>
  </si>
  <si>
    <t>มูลค่าทรัพย์สินสุทธิต่อหน่วย</t>
  </si>
  <si>
    <t>102มูลค่าทรัพย์สินสุทธิต่อหน่วยบลจ. ไทยพาณิชย์ จำกัด</t>
  </si>
  <si>
    <t>102มูลค่าทรัพย์สินสุทธิต่อหน่วย</t>
  </si>
  <si>
    <t>% การเปลี่ยนแปลงมูลค่าทรัพย์สินสุทธิต่อหน่วยเฉพาะต่อเดือน</t>
  </si>
  <si>
    <t>% การเปลี่ยนแปลงมูลค่าทรัพย์สินสุทธิต่อหน่วยสะสม (ตั้งแต่วันที่ 1 มกราคม 2559 - 30 กันยายน 2559)</t>
  </si>
  <si>
    <t>"ผลการดำเนินงานของกองทุนสำรองเลี้ยงชีพได้จัดทำขึ้นตามมาตรฐานการวัดผลการดำเนินงานของกองทุนสำรองเลี้ยงชีพของสมาคมบริษัทจัดการลงทุน ผลการดำเนินงานในอดีตมิได้เป็นสิ่งยืนยันถึงผลการดำเนินงานในอนาคต"</t>
  </si>
  <si>
    <t>ขอรับรองว่ารายงานนี้ถูกต้องครบถ้วนตามความเป็นจริง</t>
  </si>
  <si>
    <t>(นางสาวสมใจ โรจน์เลิศจรรยา)</t>
  </si>
  <si>
    <t>(เจ้าหน้าที่บริษัทผู้จัดการกองทุนซึ่งเป็นผู้มีอำนาจลงนาม)</t>
  </si>
  <si>
    <t>วันที่ 30 กันยายน 2559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</si>
</sst>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\(#,##0.00\)"/>
    <numFmt numFmtId="192" formatCode="0.00_);[Red]\(0.00\)"/>
    <numFmt numFmtId="193" formatCode="0.0000"/>
    <numFmt numFmtId="194" formatCode="#,##0.0000;[Red]\(#,##0.0000\)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u val="single"/>
      <sz val="12"/>
      <name val="Arial Narrow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0" xfId="0" applyFont="1" applyAlignment="1" quotePrefix="1">
      <alignment vertical="top"/>
    </xf>
    <xf numFmtId="0" fontId="20" fillId="0" borderId="0" xfId="0" applyFont="1" applyAlignment="1">
      <alignment vertical="top"/>
    </xf>
    <xf numFmtId="4" fontId="20" fillId="0" borderId="12" xfId="0" applyNumberFormat="1" applyFont="1" applyBorder="1" applyAlignment="1">
      <alignment/>
    </xf>
    <xf numFmtId="191" fontId="20" fillId="0" borderId="12" xfId="0" applyNumberFormat="1" applyFont="1" applyBorder="1" applyAlignment="1">
      <alignment/>
    </xf>
    <xf numFmtId="192" fontId="20" fillId="0" borderId="12" xfId="0" applyNumberFormat="1" applyFont="1" applyBorder="1" applyAlignment="1">
      <alignment/>
    </xf>
    <xf numFmtId="193" fontId="20" fillId="0" borderId="12" xfId="0" applyNumberFormat="1" applyFont="1" applyBorder="1" applyAlignment="1">
      <alignment/>
    </xf>
    <xf numFmtId="14" fontId="20" fillId="0" borderId="12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91" fontId="18" fillId="0" borderId="0" xfId="0" applyNumberFormat="1" applyFont="1" applyAlignment="1">
      <alignment/>
    </xf>
    <xf numFmtId="192" fontId="18" fillId="0" borderId="0" xfId="0" applyNumberFormat="1" applyFont="1" applyAlignment="1">
      <alignment/>
    </xf>
    <xf numFmtId="193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0" fontId="22" fillId="0" borderId="0" xfId="0" applyFont="1" applyAlignment="1">
      <alignment/>
    </xf>
    <xf numFmtId="4" fontId="20" fillId="0" borderId="13" xfId="0" applyNumberFormat="1" applyFont="1" applyBorder="1" applyAlignment="1">
      <alignment/>
    </xf>
    <xf numFmtId="191" fontId="20" fillId="0" borderId="13" xfId="0" applyNumberFormat="1" applyFont="1" applyBorder="1" applyAlignment="1">
      <alignment/>
    </xf>
    <xf numFmtId="192" fontId="20" fillId="0" borderId="13" xfId="0" applyNumberFormat="1" applyFont="1" applyBorder="1" applyAlignment="1">
      <alignment/>
    </xf>
    <xf numFmtId="193" fontId="20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91" fontId="20" fillId="0" borderId="0" xfId="0" applyNumberFormat="1" applyFont="1" applyAlignment="1">
      <alignment/>
    </xf>
    <xf numFmtId="192" fontId="20" fillId="0" borderId="0" xfId="0" applyNumberFormat="1" applyFont="1" applyAlignment="1">
      <alignment/>
    </xf>
    <xf numFmtId="14" fontId="18" fillId="0" borderId="0" xfId="0" applyNumberFormat="1" applyFont="1" applyAlignment="1">
      <alignment horizontal="center"/>
    </xf>
    <xf numFmtId="4" fontId="20" fillId="0" borderId="14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15" xfId="0" applyNumberFormat="1" applyFont="1" applyBorder="1" applyAlignment="1">
      <alignment/>
    </xf>
    <xf numFmtId="191" fontId="20" fillId="0" borderId="15" xfId="0" applyNumberFormat="1" applyFont="1" applyBorder="1" applyAlignment="1">
      <alignment/>
    </xf>
    <xf numFmtId="192" fontId="20" fillId="0" borderId="15" xfId="0" applyNumberFormat="1" applyFont="1" applyBorder="1" applyAlignment="1">
      <alignment/>
    </xf>
    <xf numFmtId="194" fontId="20" fillId="0" borderId="0" xfId="0" applyNumberFormat="1" applyFont="1" applyAlignment="1">
      <alignment/>
    </xf>
    <xf numFmtId="194" fontId="20" fillId="0" borderId="15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101</xdr:row>
      <xdr:rowOff>38100</xdr:rowOff>
    </xdr:from>
    <xdr:to>
      <xdr:col>9</xdr:col>
      <xdr:colOff>85725</xdr:colOff>
      <xdr:row>101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21221700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workbookViewId="0" topLeftCell="A1">
      <selection activeCell="A1" sqref="A1:L1"/>
    </sheetView>
  </sheetViews>
  <sheetFormatPr defaultColWidth="9.140625" defaultRowHeight="19.5" customHeight="1"/>
  <cols>
    <col min="1" max="1" width="3.00390625" style="2" customWidth="1"/>
    <col min="2" max="2" width="1.28515625" style="2" customWidth="1"/>
    <col min="3" max="4" width="3.00390625" style="2" customWidth="1"/>
    <col min="5" max="5" width="95.7109375" style="2" customWidth="1"/>
    <col min="6" max="9" width="20.7109375" style="2" customWidth="1"/>
    <col min="10" max="11" width="11.28125" style="2" customWidth="1"/>
    <col min="12" max="12" width="12.28125" style="2" bestFit="1" customWidth="1"/>
    <col min="13" max="16384" width="9.14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1:12" ht="19.5" customHeight="1">
      <c r="K4" s="5" t="s">
        <v>3</v>
      </c>
      <c r="L4" s="5"/>
    </row>
    <row r="5" spans="1:12" ht="19.5" customHeight="1">
      <c r="A5" s="6" t="s">
        <v>4</v>
      </c>
      <c r="K5" s="3" t="s">
        <v>5</v>
      </c>
      <c r="L5" s="3"/>
    </row>
    <row r="6" spans="1:12" ht="19.5" customHeight="1">
      <c r="A6" s="7"/>
      <c r="B6" s="7"/>
      <c r="C6" s="7"/>
      <c r="D6" s="7"/>
      <c r="E6" s="7"/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ht="19.5" customHeight="1">
      <c r="A7" s="8"/>
      <c r="B7" s="8"/>
      <c r="C7" s="8"/>
      <c r="D7" s="8"/>
      <c r="E7" s="8"/>
      <c r="F7" s="8" t="s">
        <v>13</v>
      </c>
      <c r="G7" s="8"/>
      <c r="H7" s="8"/>
      <c r="I7" s="8"/>
      <c r="J7" s="8" t="s">
        <v>9</v>
      </c>
      <c r="K7" s="8"/>
      <c r="L7" s="8"/>
    </row>
    <row r="9" spans="1:24" ht="19.5" customHeight="1">
      <c r="A9" s="9" t="s">
        <v>14</v>
      </c>
      <c r="B9" s="10" t="s">
        <v>15</v>
      </c>
      <c r="C9" s="6"/>
      <c r="D9" s="6"/>
      <c r="E9" s="6"/>
      <c r="F9" s="11">
        <f>SUMIF($AA10:$AA10000,1,F10:F10000)</f>
        <v>0</v>
      </c>
      <c r="G9" s="11">
        <f>SUMIF($AA10:$AA10000,1,G10:G10000)</f>
        <v>0</v>
      </c>
      <c r="H9" s="11">
        <f>SUMIF($AA10:$AA10000,1,H10:H10000)</f>
        <v>0</v>
      </c>
      <c r="I9" s="12">
        <f>SUMIF($AA10:$AA10000,1,I10:I10000)</f>
        <v>0</v>
      </c>
      <c r="J9" s="13">
        <f>SUMIF($AA10:$AA10000,1,J10:J10000)</f>
        <v>0</v>
      </c>
      <c r="K9" s="14"/>
      <c r="L9" s="15"/>
      <c r="W9" s="2">
        <v>1</v>
      </c>
      <c r="X9" s="2">
        <v>11</v>
      </c>
    </row>
    <row r="10" spans="6:27" ht="19.5" customHeight="1">
      <c r="F10" s="16">
        <v>0</v>
      </c>
      <c r="G10" s="16">
        <v>0</v>
      </c>
      <c r="H10" s="16">
        <v>0</v>
      </c>
      <c r="I10" s="17">
        <v>0</v>
      </c>
      <c r="J10" s="18">
        <v>0</v>
      </c>
      <c r="K10" s="19"/>
      <c r="L10" s="20"/>
      <c r="X10" s="2">
        <v>14</v>
      </c>
      <c r="Y10" s="2" t="s">
        <v>16</v>
      </c>
      <c r="Z10" s="2" t="s">
        <v>16</v>
      </c>
      <c r="AA10" s="2">
        <v>1</v>
      </c>
    </row>
    <row r="12" spans="1:24" ht="19.5" customHeight="1">
      <c r="A12" s="9" t="s">
        <v>17</v>
      </c>
      <c r="B12" s="10" t="s">
        <v>18</v>
      </c>
      <c r="C12" s="6"/>
      <c r="D12" s="6"/>
      <c r="E12" s="6"/>
      <c r="F12" s="11">
        <f>SUMIF($AA13:$AA10000,2,F13:F10000)</f>
        <v>13793122.23</v>
      </c>
      <c r="G12" s="11">
        <f>SUMIF($AA13:$AA10000,2,G13:G10000)</f>
        <v>13793122.23</v>
      </c>
      <c r="H12" s="11">
        <f>SUMIF($AA13:$AA10000,2,H13:H10000)</f>
        <v>7044.76</v>
      </c>
      <c r="I12" s="12">
        <f>SUMIF($AA13:$AA10000,2,I13:I10000)</f>
        <v>13800166.99</v>
      </c>
      <c r="J12" s="13">
        <f>SUMIF($AA13:$AA10000,2,J13:J10000)</f>
        <v>2.188396</v>
      </c>
      <c r="K12" s="14"/>
      <c r="L12" s="15"/>
      <c r="W12" s="2">
        <v>1</v>
      </c>
      <c r="X12" s="2">
        <v>21</v>
      </c>
    </row>
    <row r="13" spans="1:24" ht="19.5" customHeight="1">
      <c r="A13" s="6"/>
      <c r="B13" s="6"/>
      <c r="C13" s="21" t="s">
        <v>19</v>
      </c>
      <c r="D13" s="6"/>
      <c r="E13" s="6"/>
      <c r="F13" s="22">
        <f>SUMIF($Z14:$Z10000,"2"&amp;$C13,F14:F10000)</f>
        <v>13793122.23</v>
      </c>
      <c r="G13" s="22">
        <f>SUMIF($Z14:$Z10000,"2"&amp;$C13,G14:G10000)</f>
        <v>13793122.23</v>
      </c>
      <c r="H13" s="22">
        <f>SUMIF($Z14:$Z10000,"2"&amp;$C13,H14:H10000)</f>
        <v>7044.76</v>
      </c>
      <c r="I13" s="23">
        <f>SUMIF($Z14:$Z10000,"2"&amp;$C13,I14:I10000)</f>
        <v>13800166.99</v>
      </c>
      <c r="J13" s="24">
        <f>SUMIF($Z14:$Z10000,"2"&amp;$C13,J14:J10000)</f>
        <v>2.188396</v>
      </c>
      <c r="K13" s="25"/>
      <c r="L13" s="26"/>
      <c r="X13" s="2">
        <v>22</v>
      </c>
    </row>
    <row r="14" spans="4:24" ht="24.75" customHeight="1">
      <c r="D14" s="6" t="s">
        <v>20</v>
      </c>
      <c r="E14" s="6"/>
      <c r="F14" s="27">
        <f>SUMIF($Y15:$Y10000,"2เงินฝากออมทรัพย์"&amp;$D14,F15:F10000)</f>
        <v>13793122.23</v>
      </c>
      <c r="G14" s="27">
        <f>SUMIF($Y15:$Y10000,"2เงินฝากออมทรัพย์"&amp;$D14,G15:G10000)</f>
        <v>13793122.23</v>
      </c>
      <c r="H14" s="27">
        <f>SUMIF($Y15:$Y10000,"2เงินฝากออมทรัพย์"&amp;$D14,H15:H10000)</f>
        <v>7044.76</v>
      </c>
      <c r="I14" s="28">
        <f>SUMIF($Y15:$Y10000,"2เงินฝากออมทรัพย์"&amp;$D14,I15:I10000)</f>
        <v>13800166.99</v>
      </c>
      <c r="J14" s="29">
        <f>SUMIF($Y15:$Y10000,"2เงินฝากออมทรัพย์"&amp;$D14,J15:J10000)</f>
        <v>2.188396</v>
      </c>
      <c r="K14" s="19"/>
      <c r="L14" s="20"/>
      <c r="X14" s="2">
        <v>23</v>
      </c>
    </row>
    <row r="15" spans="5:27" ht="19.5" customHeight="1">
      <c r="E15" s="2" t="s">
        <v>21</v>
      </c>
      <c r="F15" s="16">
        <v>4227946.99</v>
      </c>
      <c r="G15" s="16">
        <v>4227946.99</v>
      </c>
      <c r="H15" s="16">
        <v>0</v>
      </c>
      <c r="I15" s="17">
        <v>4227946.99</v>
      </c>
      <c r="J15" s="18">
        <v>0.670457</v>
      </c>
      <c r="K15" s="19"/>
      <c r="L15" s="30" t="s">
        <v>22</v>
      </c>
      <c r="X15" s="2">
        <v>24</v>
      </c>
      <c r="Y15" s="2" t="s">
        <v>23</v>
      </c>
      <c r="Z15" s="2" t="s">
        <v>24</v>
      </c>
      <c r="AA15" s="2">
        <v>2</v>
      </c>
    </row>
    <row r="16" spans="5:27" ht="19.5" customHeight="1">
      <c r="E16" s="2" t="s">
        <v>25</v>
      </c>
      <c r="F16" s="16">
        <v>9565175.24</v>
      </c>
      <c r="G16" s="16">
        <v>9565175.24</v>
      </c>
      <c r="H16" s="16">
        <v>7044.76</v>
      </c>
      <c r="I16" s="17">
        <v>9572220</v>
      </c>
      <c r="J16" s="18">
        <v>1.517939</v>
      </c>
      <c r="K16" s="19"/>
      <c r="L16" s="20"/>
      <c r="X16" s="2">
        <v>24</v>
      </c>
      <c r="Y16" s="2" t="s">
        <v>23</v>
      </c>
      <c r="Z16" s="2" t="s">
        <v>24</v>
      </c>
      <c r="AA16" s="2">
        <v>2</v>
      </c>
    </row>
    <row r="18" spans="1:24" ht="19.5" customHeight="1">
      <c r="A18" s="9" t="s">
        <v>26</v>
      </c>
      <c r="B18" s="10" t="s">
        <v>27</v>
      </c>
      <c r="C18" s="6"/>
      <c r="D18" s="6"/>
      <c r="E18" s="6"/>
      <c r="F18" s="11">
        <f>SUMIF($AA19:$AA10000,3,F19:F10000)</f>
        <v>0</v>
      </c>
      <c r="G18" s="11">
        <f>SUMIF($AA19:$AA10000,3,G19:G10000)</f>
        <v>0</v>
      </c>
      <c r="H18" s="11">
        <f>SUMIF($AA19:$AA10000,3,H19:H10000)</f>
        <v>0</v>
      </c>
      <c r="I18" s="12">
        <f>SUMIF($AA19:$AA10000,3,I19:I10000)</f>
        <v>0</v>
      </c>
      <c r="J18" s="13">
        <f>SUMIF($AA19:$AA10000,3,J19:J10000)</f>
        <v>0</v>
      </c>
      <c r="K18" s="14"/>
      <c r="L18" s="15"/>
      <c r="W18" s="2">
        <v>1</v>
      </c>
      <c r="X18" s="2">
        <v>31</v>
      </c>
    </row>
    <row r="19" spans="6:27" ht="19.5" customHeight="1">
      <c r="F19" s="16">
        <v>0</v>
      </c>
      <c r="G19" s="16">
        <v>0</v>
      </c>
      <c r="H19" s="16">
        <v>0</v>
      </c>
      <c r="I19" s="17">
        <v>0</v>
      </c>
      <c r="J19" s="18">
        <v>0</v>
      </c>
      <c r="K19" s="19"/>
      <c r="L19" s="20"/>
      <c r="X19" s="2">
        <v>34</v>
      </c>
      <c r="Y19" s="2" t="s">
        <v>28</v>
      </c>
      <c r="Z19" s="2" t="s">
        <v>29</v>
      </c>
      <c r="AA19" s="2">
        <v>3</v>
      </c>
    </row>
    <row r="21" spans="1:24" ht="19.5" customHeight="1">
      <c r="A21" s="9" t="s">
        <v>30</v>
      </c>
      <c r="B21" s="10" t="s">
        <v>31</v>
      </c>
      <c r="C21" s="6"/>
      <c r="D21" s="6"/>
      <c r="E21" s="6"/>
      <c r="F21" s="11">
        <f>SUMIF($AA22:$AA10000,4,F22:F10000)</f>
        <v>0</v>
      </c>
      <c r="G21" s="11">
        <f>SUMIF($AA22:$AA10000,4,G22:G10000)</f>
        <v>0</v>
      </c>
      <c r="H21" s="11">
        <f>SUMIF($AA22:$AA10000,4,H22:H10000)</f>
        <v>0</v>
      </c>
      <c r="I21" s="12">
        <f>SUMIF($AA22:$AA10000,4,I22:I10000)</f>
        <v>0</v>
      </c>
      <c r="J21" s="13">
        <f>SUMIF($AA22:$AA10000,4,J22:J10000)</f>
        <v>0</v>
      </c>
      <c r="K21" s="14"/>
      <c r="L21" s="15"/>
      <c r="W21" s="2">
        <v>1</v>
      </c>
      <c r="X21" s="2">
        <v>41</v>
      </c>
    </row>
    <row r="22" spans="6:27" ht="19.5" customHeight="1">
      <c r="F22" s="16">
        <v>0</v>
      </c>
      <c r="G22" s="16">
        <v>0</v>
      </c>
      <c r="H22" s="16">
        <v>0</v>
      </c>
      <c r="I22" s="17">
        <v>0</v>
      </c>
      <c r="J22" s="18">
        <v>0</v>
      </c>
      <c r="K22" s="19"/>
      <c r="L22" s="20"/>
      <c r="X22" s="2">
        <v>44</v>
      </c>
      <c r="Y22" s="2" t="s">
        <v>32</v>
      </c>
      <c r="Z22" s="2" t="s">
        <v>33</v>
      </c>
      <c r="AA22" s="2">
        <v>4</v>
      </c>
    </row>
    <row r="24" spans="1:24" ht="19.5" customHeight="1">
      <c r="A24" s="9" t="s">
        <v>34</v>
      </c>
      <c r="B24" s="10" t="s">
        <v>35</v>
      </c>
      <c r="C24" s="6"/>
      <c r="D24" s="6"/>
      <c r="E24" s="6"/>
      <c r="F24" s="11">
        <f>SUMIF($AA25:$AA10000,5,F25:F10000)</f>
        <v>0</v>
      </c>
      <c r="G24" s="11">
        <f>SUMIF($AA25:$AA10000,5,G25:G10000)</f>
        <v>0</v>
      </c>
      <c r="H24" s="11">
        <f>SUMIF($AA25:$AA10000,5,H25:H10000)</f>
        <v>0</v>
      </c>
      <c r="I24" s="12">
        <f>SUMIF($AA25:$AA10000,5,I25:I10000)</f>
        <v>0</v>
      </c>
      <c r="J24" s="13">
        <f>SUMIF($AA25:$AA10000,5,J25:J10000)</f>
        <v>0</v>
      </c>
      <c r="K24" s="14"/>
      <c r="L24" s="15"/>
      <c r="W24" s="2">
        <v>1</v>
      </c>
      <c r="X24" s="2">
        <v>51</v>
      </c>
    </row>
    <row r="25" spans="6:27" ht="19.5" customHeight="1">
      <c r="F25" s="16">
        <v>0</v>
      </c>
      <c r="G25" s="16">
        <v>0</v>
      </c>
      <c r="H25" s="16">
        <v>0</v>
      </c>
      <c r="I25" s="17">
        <v>0</v>
      </c>
      <c r="J25" s="18">
        <v>0</v>
      </c>
      <c r="K25" s="19"/>
      <c r="L25" s="20"/>
      <c r="X25" s="2">
        <v>54</v>
      </c>
      <c r="Y25" s="2" t="s">
        <v>36</v>
      </c>
      <c r="Z25" s="2" t="s">
        <v>37</v>
      </c>
      <c r="AA25" s="2">
        <v>5</v>
      </c>
    </row>
    <row r="27" spans="1:24" ht="19.5" customHeight="1">
      <c r="A27" s="9" t="s">
        <v>38</v>
      </c>
      <c r="B27" s="10" t="s">
        <v>39</v>
      </c>
      <c r="C27" s="6"/>
      <c r="D27" s="6"/>
      <c r="E27" s="6"/>
      <c r="F27" s="11">
        <f>SUMIF($AA28:$AA10000,6,F28:F10000)</f>
        <v>0</v>
      </c>
      <c r="G27" s="11">
        <f>SUMIF($AA28:$AA10000,6,G28:G10000)</f>
        <v>0</v>
      </c>
      <c r="H27" s="11">
        <f>SUMIF($AA28:$AA10000,6,H28:H10000)</f>
        <v>0</v>
      </c>
      <c r="I27" s="12">
        <f>SUMIF($AA28:$AA10000,6,I28:I10000)</f>
        <v>0</v>
      </c>
      <c r="J27" s="13">
        <f>SUMIF($AA28:$AA10000,6,J28:J10000)</f>
        <v>0</v>
      </c>
      <c r="K27" s="14"/>
      <c r="L27" s="15"/>
      <c r="W27" s="2">
        <v>1</v>
      </c>
      <c r="X27" s="2">
        <v>61</v>
      </c>
    </row>
    <row r="28" spans="6:27" ht="19.5" customHeight="1">
      <c r="F28" s="16">
        <v>0</v>
      </c>
      <c r="G28" s="16">
        <v>0</v>
      </c>
      <c r="H28" s="16">
        <v>0</v>
      </c>
      <c r="I28" s="17">
        <v>0</v>
      </c>
      <c r="J28" s="18">
        <v>0</v>
      </c>
      <c r="K28" s="19"/>
      <c r="L28" s="20"/>
      <c r="X28" s="2">
        <v>64</v>
      </c>
      <c r="Y28" s="2" t="s">
        <v>40</v>
      </c>
      <c r="Z28" s="2" t="s">
        <v>41</v>
      </c>
      <c r="AA28" s="2">
        <v>6</v>
      </c>
    </row>
    <row r="30" spans="1:24" ht="19.5" customHeight="1">
      <c r="A30" s="9" t="s">
        <v>42</v>
      </c>
      <c r="B30" s="10" t="s">
        <v>43</v>
      </c>
      <c r="C30" s="6"/>
      <c r="D30" s="6"/>
      <c r="E30" s="6"/>
      <c r="F30" s="11">
        <f>SUMIF($AA31:$AA10000,7,F31:F10000)</f>
        <v>0</v>
      </c>
      <c r="G30" s="11">
        <f>SUMIF($AA31:$AA10000,7,G31:G10000)</f>
        <v>0</v>
      </c>
      <c r="H30" s="11">
        <f>SUMIF($AA31:$AA10000,7,H31:H10000)</f>
        <v>0</v>
      </c>
      <c r="I30" s="12">
        <f>SUMIF($AA31:$AA10000,7,I31:I10000)</f>
        <v>0</v>
      </c>
      <c r="J30" s="13">
        <f>SUMIF($AA31:$AA10000,7,J31:J10000)</f>
        <v>0</v>
      </c>
      <c r="K30" s="14"/>
      <c r="L30" s="15"/>
      <c r="W30" s="2">
        <v>1</v>
      </c>
      <c r="X30" s="2">
        <v>71</v>
      </c>
    </row>
    <row r="31" spans="6:27" ht="19.5" customHeight="1">
      <c r="F31" s="16">
        <v>0</v>
      </c>
      <c r="G31" s="16">
        <v>0</v>
      </c>
      <c r="H31" s="16">
        <v>0</v>
      </c>
      <c r="I31" s="17">
        <v>0</v>
      </c>
      <c r="J31" s="18">
        <v>0</v>
      </c>
      <c r="K31" s="19"/>
      <c r="L31" s="20"/>
      <c r="X31" s="2">
        <v>74</v>
      </c>
      <c r="Y31" s="2" t="s">
        <v>44</v>
      </c>
      <c r="Z31" s="2" t="s">
        <v>45</v>
      </c>
      <c r="AA31" s="2">
        <v>7</v>
      </c>
    </row>
    <row r="33" spans="1:24" ht="19.5" customHeight="1">
      <c r="A33" s="9" t="s">
        <v>46</v>
      </c>
      <c r="B33" s="10" t="s">
        <v>47</v>
      </c>
      <c r="C33" s="6"/>
      <c r="D33" s="6"/>
      <c r="E33" s="6"/>
      <c r="F33" s="11">
        <f>SUMIF($AA34:$AA10000,8,F34:F10000)</f>
        <v>0</v>
      </c>
      <c r="G33" s="11">
        <f>SUMIF($AA34:$AA10000,8,G34:G10000)</f>
        <v>0</v>
      </c>
      <c r="H33" s="11">
        <f>SUMIF($AA34:$AA10000,8,H34:H10000)</f>
        <v>0</v>
      </c>
      <c r="I33" s="12">
        <f>SUMIF($AA34:$AA10000,8,I34:I10000)</f>
        <v>0</v>
      </c>
      <c r="J33" s="13">
        <f>SUMIF($AA34:$AA10000,8,J34:J10000)</f>
        <v>0</v>
      </c>
      <c r="K33" s="14"/>
      <c r="L33" s="15"/>
      <c r="W33" s="2">
        <v>1</v>
      </c>
      <c r="X33" s="2">
        <v>81</v>
      </c>
    </row>
    <row r="34" spans="6:27" ht="19.5" customHeight="1">
      <c r="F34" s="16">
        <v>0</v>
      </c>
      <c r="G34" s="16">
        <v>0</v>
      </c>
      <c r="H34" s="16">
        <v>0</v>
      </c>
      <c r="I34" s="17">
        <v>0</v>
      </c>
      <c r="J34" s="18">
        <v>0</v>
      </c>
      <c r="K34" s="19"/>
      <c r="L34" s="20"/>
      <c r="X34" s="2">
        <v>84</v>
      </c>
      <c r="Y34" s="2" t="s">
        <v>48</v>
      </c>
      <c r="Z34" s="2" t="s">
        <v>49</v>
      </c>
      <c r="AA34" s="2">
        <v>8</v>
      </c>
    </row>
    <row r="36" spans="1:24" ht="19.5" customHeight="1">
      <c r="A36" s="9" t="s">
        <v>50</v>
      </c>
      <c r="B36" s="10" t="s">
        <v>51</v>
      </c>
      <c r="C36" s="6"/>
      <c r="D36" s="6"/>
      <c r="E36" s="6"/>
      <c r="F36" s="11">
        <f>SUMIF($AA37:$AA10000,9,F37:F10000)</f>
        <v>0</v>
      </c>
      <c r="G36" s="11">
        <f>SUMIF($AA37:$AA10000,9,G37:G10000)</f>
        <v>0</v>
      </c>
      <c r="H36" s="11">
        <f>SUMIF($AA37:$AA10000,9,H37:H10000)</f>
        <v>0</v>
      </c>
      <c r="I36" s="12">
        <f>SUMIF($AA37:$AA10000,9,I37:I10000)</f>
        <v>0</v>
      </c>
      <c r="J36" s="13">
        <f>SUMIF($AA37:$AA10000,9,J37:J10000)</f>
        <v>0</v>
      </c>
      <c r="K36" s="14"/>
      <c r="L36" s="15"/>
      <c r="W36" s="2">
        <v>1</v>
      </c>
      <c r="X36" s="2">
        <v>91</v>
      </c>
    </row>
    <row r="37" spans="6:27" ht="19.5" customHeight="1">
      <c r="F37" s="16">
        <v>0</v>
      </c>
      <c r="G37" s="16">
        <v>0</v>
      </c>
      <c r="H37" s="16">
        <v>0</v>
      </c>
      <c r="I37" s="17">
        <v>0</v>
      </c>
      <c r="J37" s="18">
        <v>0</v>
      </c>
      <c r="K37" s="19"/>
      <c r="L37" s="20"/>
      <c r="X37" s="2">
        <v>94</v>
      </c>
      <c r="Y37" s="2" t="s">
        <v>52</v>
      </c>
      <c r="Z37" s="2" t="s">
        <v>53</v>
      </c>
      <c r="AA37" s="2">
        <v>9</v>
      </c>
    </row>
    <row r="39" spans="1:24" ht="19.5" customHeight="1">
      <c r="A39" s="9" t="s">
        <v>54</v>
      </c>
      <c r="B39" s="10" t="s">
        <v>55</v>
      </c>
      <c r="C39" s="6"/>
      <c r="D39" s="6"/>
      <c r="E39" s="6"/>
      <c r="F39" s="11">
        <f>SUMIF($AA40:$AA10000,10,F40:F10000)</f>
        <v>0</v>
      </c>
      <c r="G39" s="11">
        <f>SUMIF($AA40:$AA10000,10,G40:G10000)</f>
        <v>0</v>
      </c>
      <c r="H39" s="11">
        <f>SUMIF($AA40:$AA10000,10,H40:H10000)</f>
        <v>0</v>
      </c>
      <c r="I39" s="12">
        <f>SUMIF($AA40:$AA10000,10,I40:I10000)</f>
        <v>0</v>
      </c>
      <c r="J39" s="13">
        <f>SUMIF($AA40:$AA10000,10,J40:J10000)</f>
        <v>0</v>
      </c>
      <c r="K39" s="14"/>
      <c r="L39" s="15"/>
      <c r="W39" s="2">
        <v>1</v>
      </c>
      <c r="X39" s="2">
        <v>101</v>
      </c>
    </row>
    <row r="40" spans="6:27" ht="19.5" customHeight="1">
      <c r="F40" s="16">
        <v>0</v>
      </c>
      <c r="G40" s="16">
        <v>0</v>
      </c>
      <c r="H40" s="16">
        <v>0</v>
      </c>
      <c r="I40" s="17">
        <v>0</v>
      </c>
      <c r="J40" s="18">
        <v>0</v>
      </c>
      <c r="K40" s="19"/>
      <c r="L40" s="20"/>
      <c r="X40" s="2">
        <v>104</v>
      </c>
      <c r="Y40" s="2" t="s">
        <v>56</v>
      </c>
      <c r="Z40" s="2" t="s">
        <v>57</v>
      </c>
      <c r="AA40" s="2">
        <v>10</v>
      </c>
    </row>
    <row r="42" spans="1:24" ht="19.5" customHeight="1">
      <c r="A42" s="9" t="s">
        <v>58</v>
      </c>
      <c r="B42" s="10" t="s">
        <v>59</v>
      </c>
      <c r="C42" s="6"/>
      <c r="D42" s="6"/>
      <c r="E42" s="6"/>
      <c r="F42" s="11">
        <f>SUMIF($AA43:$AA10000,11,F43:F10000)</f>
        <v>0</v>
      </c>
      <c r="G42" s="11">
        <f>SUMIF($AA43:$AA10000,11,G43:G10000)</f>
        <v>0</v>
      </c>
      <c r="H42" s="11">
        <f>SUMIF($AA43:$AA10000,11,H43:H10000)</f>
        <v>0</v>
      </c>
      <c r="I42" s="12">
        <f>SUMIF($AA43:$AA10000,11,I43:I10000)</f>
        <v>0</v>
      </c>
      <c r="J42" s="13">
        <f>SUMIF($AA43:$AA10000,11,J43:J10000)</f>
        <v>0</v>
      </c>
      <c r="K42" s="14"/>
      <c r="L42" s="15"/>
      <c r="W42" s="2">
        <v>1</v>
      </c>
      <c r="X42" s="2">
        <v>111</v>
      </c>
    </row>
    <row r="43" spans="6:27" ht="19.5" customHeight="1">
      <c r="F43" s="16">
        <v>0</v>
      </c>
      <c r="G43" s="16">
        <v>0</v>
      </c>
      <c r="H43" s="16">
        <v>0</v>
      </c>
      <c r="I43" s="17">
        <v>0</v>
      </c>
      <c r="J43" s="18">
        <v>0</v>
      </c>
      <c r="K43" s="19"/>
      <c r="L43" s="20"/>
      <c r="X43" s="2">
        <v>114</v>
      </c>
      <c r="Y43" s="2" t="s">
        <v>60</v>
      </c>
      <c r="Z43" s="2" t="s">
        <v>61</v>
      </c>
      <c r="AA43" s="2">
        <v>11</v>
      </c>
    </row>
    <row r="45" spans="1:24" ht="19.5" customHeight="1">
      <c r="A45" s="9" t="s">
        <v>62</v>
      </c>
      <c r="B45" s="10" t="s">
        <v>63</v>
      </c>
      <c r="C45" s="6"/>
      <c r="D45" s="6"/>
      <c r="E45" s="6"/>
      <c r="F45" s="11">
        <f>SUMIF($AA46:$AA10000,12,F46:F10000)</f>
        <v>0</v>
      </c>
      <c r="G45" s="11">
        <f>SUMIF($AA46:$AA10000,12,G46:G10000)</f>
        <v>0</v>
      </c>
      <c r="H45" s="11">
        <f>SUMIF($AA46:$AA10000,12,H46:H10000)</f>
        <v>0</v>
      </c>
      <c r="I45" s="12">
        <f>SUMIF($AA46:$AA10000,12,I46:I10000)</f>
        <v>0</v>
      </c>
      <c r="J45" s="13">
        <f>SUMIF($AA46:$AA10000,12,J46:J10000)</f>
        <v>0</v>
      </c>
      <c r="K45" s="14"/>
      <c r="L45" s="15"/>
      <c r="W45" s="2">
        <v>1</v>
      </c>
      <c r="X45" s="2">
        <v>121</v>
      </c>
    </row>
    <row r="46" spans="6:27" ht="19.5" customHeight="1">
      <c r="F46" s="16">
        <v>0</v>
      </c>
      <c r="G46" s="16">
        <v>0</v>
      </c>
      <c r="H46" s="16">
        <v>0</v>
      </c>
      <c r="I46" s="17">
        <v>0</v>
      </c>
      <c r="J46" s="18">
        <v>0</v>
      </c>
      <c r="K46" s="19"/>
      <c r="L46" s="20"/>
      <c r="X46" s="2">
        <v>124</v>
      </c>
      <c r="Y46" s="2" t="s">
        <v>64</v>
      </c>
      <c r="Z46" s="2" t="s">
        <v>65</v>
      </c>
      <c r="AA46" s="2">
        <v>12</v>
      </c>
    </row>
    <row r="48" spans="1:24" ht="19.5" customHeight="1">
      <c r="A48" s="9" t="s">
        <v>66</v>
      </c>
      <c r="B48" s="10" t="s">
        <v>67</v>
      </c>
      <c r="C48" s="6"/>
      <c r="D48" s="6"/>
      <c r="E48" s="6"/>
      <c r="F48" s="11">
        <f>SUMIF($AA49:$AA10000,13,F49:F10000)</f>
        <v>52109333.51</v>
      </c>
      <c r="G48" s="11">
        <f>SUMIF($AA49:$AA10000,13,G49:G10000)</f>
        <v>588178803.58</v>
      </c>
      <c r="H48" s="11">
        <f>SUMIF($AA49:$AA10000,13,H49:H10000)</f>
        <v>0</v>
      </c>
      <c r="I48" s="12">
        <f>SUMIF($AA49:$AA10000,13,I49:I10000)</f>
        <v>617657140.99</v>
      </c>
      <c r="J48" s="13">
        <f>SUMIF($AA49:$AA10000,13,J49:J10000)</f>
        <v>97.946525</v>
      </c>
      <c r="K48" s="14"/>
      <c r="L48" s="15"/>
      <c r="W48" s="2">
        <v>1</v>
      </c>
      <c r="X48" s="2">
        <v>131</v>
      </c>
    </row>
    <row r="49" spans="1:24" ht="19.5" customHeight="1">
      <c r="A49" s="6"/>
      <c r="B49" s="6"/>
      <c r="C49" s="21" t="s">
        <v>68</v>
      </c>
      <c r="D49" s="6"/>
      <c r="E49" s="6"/>
      <c r="F49" s="22">
        <f>SUMIF($Z50:$Z10000,"13"&amp;$C49,F50:F10000)</f>
        <v>52109333.51</v>
      </c>
      <c r="G49" s="22">
        <f>SUMIF($Z50:$Z10000,"13"&amp;$C49,G50:G10000)</f>
        <v>588178803.58</v>
      </c>
      <c r="H49" s="22">
        <f>SUMIF($Z50:$Z10000,"13"&amp;$C49,H50:H10000)</f>
        <v>0</v>
      </c>
      <c r="I49" s="23">
        <f>SUMIF($Z50:$Z10000,"13"&amp;$C49,I50:I10000)</f>
        <v>617657140.99</v>
      </c>
      <c r="J49" s="24">
        <f>SUMIF($Z50:$Z10000,"13"&amp;$C49,J50:J10000)</f>
        <v>97.946525</v>
      </c>
      <c r="K49" s="25"/>
      <c r="L49" s="26"/>
      <c r="X49" s="2">
        <v>132</v>
      </c>
    </row>
    <row r="50" spans="4:24" ht="24.75" customHeight="1">
      <c r="D50" s="6" t="s">
        <v>69</v>
      </c>
      <c r="E50" s="6"/>
      <c r="F50" s="27">
        <f>SUMIF($Y51:$Y10000,"13หน่วยลงทุน"&amp;$D50,F51:F10000)</f>
        <v>52109333.51</v>
      </c>
      <c r="G50" s="27">
        <f>SUMIF($Y51:$Y10000,"13หน่วยลงทุน"&amp;$D50,G51:G10000)</f>
        <v>588178803.58</v>
      </c>
      <c r="H50" s="27">
        <f>SUMIF($Y51:$Y10000,"13หน่วยลงทุน"&amp;$D50,H51:H10000)</f>
        <v>0</v>
      </c>
      <c r="I50" s="28">
        <f>SUMIF($Y51:$Y10000,"13หน่วยลงทุน"&amp;$D50,I51:I10000)</f>
        <v>617657140.99</v>
      </c>
      <c r="J50" s="29">
        <f>SUMIF($Y51:$Y10000,"13หน่วยลงทุน"&amp;$D50,J51:J10000)</f>
        <v>97.946525</v>
      </c>
      <c r="K50" s="19"/>
      <c r="L50" s="20"/>
      <c r="X50" s="2">
        <v>133</v>
      </c>
    </row>
    <row r="51" spans="5:27" ht="19.5" customHeight="1">
      <c r="E51" s="2" t="s">
        <v>70</v>
      </c>
      <c r="F51" s="16">
        <v>52109333.51</v>
      </c>
      <c r="G51" s="16">
        <v>588178803.58</v>
      </c>
      <c r="H51" s="16">
        <v>0</v>
      </c>
      <c r="I51" s="17">
        <v>617657140.99</v>
      </c>
      <c r="J51" s="18">
        <v>97.946525</v>
      </c>
      <c r="K51" s="19"/>
      <c r="L51" s="20"/>
      <c r="X51" s="2">
        <v>134</v>
      </c>
      <c r="Y51" s="2" t="s">
        <v>71</v>
      </c>
      <c r="Z51" s="2" t="s">
        <v>72</v>
      </c>
      <c r="AA51" s="2">
        <v>13</v>
      </c>
    </row>
    <row r="53" spans="1:24" ht="19.5" customHeight="1">
      <c r="A53" s="9" t="s">
        <v>73</v>
      </c>
      <c r="B53" s="10" t="s">
        <v>74</v>
      </c>
      <c r="C53" s="6"/>
      <c r="D53" s="6"/>
      <c r="E53" s="6"/>
      <c r="F53" s="11">
        <f>SUMIF($AA54:$AA10000,14,F54:F10000)</f>
        <v>0</v>
      </c>
      <c r="G53" s="11">
        <f>SUMIF($AA54:$AA10000,14,G54:G10000)</f>
        <v>0</v>
      </c>
      <c r="H53" s="11">
        <f>SUMIF($AA54:$AA10000,14,H54:H10000)</f>
        <v>0</v>
      </c>
      <c r="I53" s="12">
        <f>SUMIF($AA54:$AA10000,14,I54:I10000)</f>
        <v>0</v>
      </c>
      <c r="J53" s="13">
        <f>SUMIF($AA54:$AA10000,14,J54:J10000)</f>
        <v>0</v>
      </c>
      <c r="K53" s="14"/>
      <c r="L53" s="15"/>
      <c r="W53" s="2">
        <v>1</v>
      </c>
      <c r="X53" s="2">
        <v>141</v>
      </c>
    </row>
    <row r="54" spans="6:27" ht="19.5" customHeight="1">
      <c r="F54" s="16">
        <v>0</v>
      </c>
      <c r="G54" s="16">
        <v>0</v>
      </c>
      <c r="H54" s="16">
        <v>0</v>
      </c>
      <c r="I54" s="17">
        <v>0</v>
      </c>
      <c r="J54" s="18">
        <v>0</v>
      </c>
      <c r="K54" s="19"/>
      <c r="L54" s="20"/>
      <c r="X54" s="2">
        <v>144</v>
      </c>
      <c r="Y54" s="2" t="s">
        <v>75</v>
      </c>
      <c r="Z54" s="2" t="s">
        <v>76</v>
      </c>
      <c r="AA54" s="2">
        <v>14</v>
      </c>
    </row>
    <row r="56" spans="1:24" ht="19.5" customHeight="1">
      <c r="A56" s="9" t="s">
        <v>77</v>
      </c>
      <c r="B56" s="10" t="s">
        <v>78</v>
      </c>
      <c r="C56" s="6"/>
      <c r="D56" s="6"/>
      <c r="E56" s="6"/>
      <c r="F56" s="11">
        <f>SUMIF($AA57:$AA10000,15,F57:F10000)</f>
        <v>0</v>
      </c>
      <c r="G56" s="11">
        <f>SUMIF($AA57:$AA10000,15,G57:G10000)</f>
        <v>0</v>
      </c>
      <c r="H56" s="11">
        <f>SUMIF($AA57:$AA10000,15,H57:H10000)</f>
        <v>0</v>
      </c>
      <c r="I56" s="12">
        <f>SUMIF($AA57:$AA10000,15,I57:I10000)</f>
        <v>0</v>
      </c>
      <c r="J56" s="13">
        <f>SUMIF($AA57:$AA10000,15,J57:J10000)</f>
        <v>0</v>
      </c>
      <c r="K56" s="14"/>
      <c r="L56" s="15"/>
      <c r="W56" s="2">
        <v>1</v>
      </c>
      <c r="X56" s="2">
        <v>151</v>
      </c>
    </row>
    <row r="57" spans="6:27" ht="19.5" customHeight="1">
      <c r="F57" s="16">
        <v>0</v>
      </c>
      <c r="G57" s="16">
        <v>0</v>
      </c>
      <c r="H57" s="16">
        <v>0</v>
      </c>
      <c r="I57" s="17">
        <v>0</v>
      </c>
      <c r="J57" s="18">
        <v>0</v>
      </c>
      <c r="K57" s="19"/>
      <c r="L57" s="20"/>
      <c r="X57" s="2">
        <v>154</v>
      </c>
      <c r="Y57" s="2" t="s">
        <v>79</v>
      </c>
      <c r="Z57" s="2" t="s">
        <v>80</v>
      </c>
      <c r="AA57" s="2">
        <v>15</v>
      </c>
    </row>
    <row r="59" spans="1:24" ht="19.5" customHeight="1">
      <c r="A59" s="9" t="s">
        <v>81</v>
      </c>
      <c r="B59" s="10" t="s">
        <v>82</v>
      </c>
      <c r="C59" s="6"/>
      <c r="D59" s="6"/>
      <c r="E59" s="6"/>
      <c r="F59" s="11">
        <f>SUMIF($AA60:$AA10000,16,F60:F10000)</f>
        <v>0</v>
      </c>
      <c r="G59" s="11">
        <f>SUMIF($AA60:$AA10000,16,G60:G10000)</f>
        <v>0</v>
      </c>
      <c r="H59" s="11">
        <f>SUMIF($AA60:$AA10000,16,H60:H10000)</f>
        <v>0</v>
      </c>
      <c r="I59" s="12">
        <f>SUMIF($AA60:$AA10000,16,I60:I10000)</f>
        <v>0</v>
      </c>
      <c r="J59" s="13">
        <f>SUMIF($AA60:$AA10000,16,J60:J10000)</f>
        <v>0</v>
      </c>
      <c r="K59" s="14"/>
      <c r="L59" s="15"/>
      <c r="W59" s="2">
        <v>1</v>
      </c>
      <c r="X59" s="2">
        <v>161</v>
      </c>
    </row>
    <row r="60" spans="6:27" ht="19.5" customHeight="1">
      <c r="F60" s="16">
        <v>0</v>
      </c>
      <c r="G60" s="16">
        <v>0</v>
      </c>
      <c r="H60" s="16">
        <v>0</v>
      </c>
      <c r="I60" s="17">
        <v>0</v>
      </c>
      <c r="J60" s="18">
        <v>0</v>
      </c>
      <c r="K60" s="19"/>
      <c r="L60" s="20"/>
      <c r="X60" s="2">
        <v>164</v>
      </c>
      <c r="Y60" s="2" t="s">
        <v>83</v>
      </c>
      <c r="Z60" s="2" t="s">
        <v>84</v>
      </c>
      <c r="AA60" s="2">
        <v>16</v>
      </c>
    </row>
    <row r="62" spans="1:24" ht="19.5" customHeight="1">
      <c r="A62" s="9" t="s">
        <v>85</v>
      </c>
      <c r="B62" s="10" t="s">
        <v>86</v>
      </c>
      <c r="C62" s="6"/>
      <c r="D62" s="6"/>
      <c r="E62" s="6"/>
      <c r="F62" s="11">
        <f>SUMIF($AA63:$AA10000,17,F63:F10000)</f>
        <v>0</v>
      </c>
      <c r="G62" s="11">
        <f>SUMIF($AA63:$AA10000,17,G63:G10000)</f>
        <v>0</v>
      </c>
      <c r="H62" s="11">
        <f>SUMIF($AA63:$AA10000,17,H63:H10000)</f>
        <v>0</v>
      </c>
      <c r="I62" s="12">
        <f>SUMIF($AA63:$AA10000,17,I63:I10000)</f>
        <v>0</v>
      </c>
      <c r="J62" s="13">
        <f>SUMIF($AA63:$AA10000,17,J63:J10000)</f>
        <v>0</v>
      </c>
      <c r="K62" s="14"/>
      <c r="L62" s="15"/>
      <c r="W62" s="2">
        <v>1</v>
      </c>
      <c r="X62" s="2">
        <v>171</v>
      </c>
    </row>
    <row r="63" spans="6:27" ht="19.5" customHeight="1">
      <c r="F63" s="16">
        <v>0</v>
      </c>
      <c r="G63" s="16">
        <v>0</v>
      </c>
      <c r="H63" s="16">
        <v>0</v>
      </c>
      <c r="I63" s="17">
        <v>0</v>
      </c>
      <c r="J63" s="18">
        <v>0</v>
      </c>
      <c r="K63" s="19"/>
      <c r="L63" s="20"/>
      <c r="X63" s="2">
        <v>174</v>
      </c>
      <c r="Y63" s="2" t="s">
        <v>87</v>
      </c>
      <c r="Z63" s="2" t="s">
        <v>88</v>
      </c>
      <c r="AA63" s="2">
        <v>17</v>
      </c>
    </row>
    <row r="65" spans="1:24" ht="19.5" customHeight="1">
      <c r="A65" s="9" t="s">
        <v>89</v>
      </c>
      <c r="B65" s="10" t="s">
        <v>90</v>
      </c>
      <c r="C65" s="6"/>
      <c r="D65" s="6"/>
      <c r="E65" s="6"/>
      <c r="F65" s="11">
        <f>SUMIF($AA66:$AA10000,18,F66:F10000)</f>
        <v>0</v>
      </c>
      <c r="G65" s="11">
        <f>SUMIF($AA66:$AA10000,18,G66:G10000)</f>
        <v>0</v>
      </c>
      <c r="H65" s="11">
        <f>SUMIF($AA66:$AA10000,18,H66:H10000)</f>
        <v>0</v>
      </c>
      <c r="I65" s="12">
        <f>SUMIF($AA66:$AA10000,18,I66:I10000)</f>
        <v>0</v>
      </c>
      <c r="J65" s="13">
        <f>SUMIF($AA66:$AA10000,18,J66:J10000)</f>
        <v>0</v>
      </c>
      <c r="K65" s="14"/>
      <c r="L65" s="15"/>
      <c r="W65" s="2">
        <v>1</v>
      </c>
      <c r="X65" s="2">
        <v>181</v>
      </c>
    </row>
    <row r="66" spans="6:27" ht="19.5" customHeight="1">
      <c r="F66" s="16">
        <v>0</v>
      </c>
      <c r="G66" s="16">
        <v>0</v>
      </c>
      <c r="H66" s="16">
        <v>0</v>
      </c>
      <c r="I66" s="17">
        <v>0</v>
      </c>
      <c r="J66" s="18">
        <v>0</v>
      </c>
      <c r="K66" s="19"/>
      <c r="L66" s="20"/>
      <c r="X66" s="2">
        <v>184</v>
      </c>
      <c r="Y66" s="2" t="s">
        <v>91</v>
      </c>
      <c r="Z66" s="2" t="s">
        <v>92</v>
      </c>
      <c r="AA66" s="2">
        <v>18</v>
      </c>
    </row>
    <row r="68" spans="1:12" ht="19.5" customHeight="1" thickBot="1">
      <c r="A68" s="4" t="s">
        <v>93</v>
      </c>
      <c r="B68" s="4"/>
      <c r="C68" s="4"/>
      <c r="D68" s="4"/>
      <c r="E68" s="4"/>
      <c r="F68" s="31">
        <f>SUMIF($W8:$W67,1,F8:F67)</f>
        <v>65902455.739999995</v>
      </c>
      <c r="G68" s="31">
        <f>SUMIF($W8:$W67,1,G8:G67)</f>
        <v>601971925.8100001</v>
      </c>
      <c r="H68" s="31">
        <f>SUMIF($W8:$W67,1,H8:H67)</f>
        <v>7044.76</v>
      </c>
      <c r="I68" s="31">
        <f>SUMIF($W8:$W67,1,I8:I67)</f>
        <v>631457307.98</v>
      </c>
      <c r="J68" s="32">
        <f>SUMIF($W8:$W67,1,J8:J67)</f>
        <v>100.13492099999999</v>
      </c>
      <c r="K68" s="33"/>
      <c r="L68" s="33"/>
    </row>
    <row r="69" ht="19.5" customHeight="1" thickTop="1"/>
    <row r="70" spans="1:24" ht="19.5" customHeight="1">
      <c r="A70" s="9" t="s">
        <v>94</v>
      </c>
      <c r="B70" s="10" t="s">
        <v>95</v>
      </c>
      <c r="C70" s="6"/>
      <c r="D70" s="6"/>
      <c r="E70" s="6"/>
      <c r="F70" s="27"/>
      <c r="G70" s="27"/>
      <c r="H70" s="27"/>
      <c r="I70" s="28">
        <f>SUMIF($AA71:$AA10000,19,I71:I10000)</f>
        <v>0</v>
      </c>
      <c r="J70" s="29">
        <f>SUMIF($AA71:$AA10000,19,J71:J10000)</f>
        <v>0</v>
      </c>
      <c r="K70" s="25"/>
      <c r="L70" s="26"/>
      <c r="W70" s="2">
        <v>1</v>
      </c>
      <c r="X70" s="2">
        <v>191</v>
      </c>
    </row>
    <row r="71" spans="1:24" ht="19.5" customHeight="1" hidden="1">
      <c r="A71" s="6"/>
      <c r="B71" s="6"/>
      <c r="C71" s="21" t="s">
        <v>95</v>
      </c>
      <c r="D71" s="6"/>
      <c r="E71" s="6"/>
      <c r="F71" s="34">
        <f>SUMIF($Z72:$Z10000,"19"&amp;$C71,F72:F10000)</f>
        <v>0</v>
      </c>
      <c r="G71" s="34">
        <f>SUMIF($Z72:$Z10000,"19"&amp;$C71,G72:G10000)</f>
        <v>0</v>
      </c>
      <c r="H71" s="34">
        <f>SUMIF($Z72:$Z10000,"19"&amp;$C71,H72:H10000)</f>
        <v>0</v>
      </c>
      <c r="I71" s="35">
        <f>SUMIF($Z72:$Z10000,"19"&amp;$C71,I72:I10000)</f>
        <v>0</v>
      </c>
      <c r="J71" s="36">
        <f>SUMIF($Z72:$Z10000,"19"&amp;$C71,J72:J10000)</f>
        <v>0</v>
      </c>
      <c r="K71" s="25"/>
      <c r="L71" s="26"/>
      <c r="X71" s="2">
        <v>192</v>
      </c>
    </row>
    <row r="72" spans="6:27" ht="19.5" customHeight="1" hidden="1">
      <c r="F72" s="16">
        <v>0</v>
      </c>
      <c r="G72" s="16">
        <v>0</v>
      </c>
      <c r="H72" s="16">
        <v>0</v>
      </c>
      <c r="I72" s="17">
        <v>0</v>
      </c>
      <c r="J72" s="18">
        <v>0</v>
      </c>
      <c r="K72" s="19"/>
      <c r="L72" s="20"/>
      <c r="X72" s="2">
        <v>194</v>
      </c>
      <c r="Y72" s="2" t="s">
        <v>96</v>
      </c>
      <c r="Z72" s="2" t="s">
        <v>97</v>
      </c>
      <c r="AA72" s="2">
        <v>19</v>
      </c>
    </row>
    <row r="73" spans="1:24" ht="19.5" customHeight="1">
      <c r="A73" s="9" t="s">
        <v>98</v>
      </c>
      <c r="B73" s="10" t="s">
        <v>99</v>
      </c>
      <c r="C73" s="6"/>
      <c r="D73" s="6"/>
      <c r="E73" s="6"/>
      <c r="F73" s="27"/>
      <c r="G73" s="27"/>
      <c r="H73" s="27"/>
      <c r="I73" s="28">
        <f>SUMIF($AA74:$AA10000,20,I74:I10000)</f>
        <v>0</v>
      </c>
      <c r="J73" s="29">
        <f>SUMIF($AA74:$AA10000,20,J74:J10000)</f>
        <v>0</v>
      </c>
      <c r="K73" s="25"/>
      <c r="L73" s="26"/>
      <c r="W73" s="2">
        <v>1</v>
      </c>
      <c r="X73" s="2">
        <v>201</v>
      </c>
    </row>
    <row r="74" spans="1:24" ht="19.5" customHeight="1" hidden="1">
      <c r="A74" s="6"/>
      <c r="B74" s="6"/>
      <c r="C74" s="21" t="s">
        <v>99</v>
      </c>
      <c r="D74" s="6"/>
      <c r="E74" s="6"/>
      <c r="F74" s="34">
        <f>SUMIF($Z75:$Z10000,"20"&amp;$C74,F75:F10000)</f>
        <v>0</v>
      </c>
      <c r="G74" s="34">
        <f>SUMIF($Z75:$Z10000,"20"&amp;$C74,G75:G10000)</f>
        <v>0</v>
      </c>
      <c r="H74" s="34">
        <f>SUMIF($Z75:$Z10000,"20"&amp;$C74,H75:H10000)</f>
        <v>0</v>
      </c>
      <c r="I74" s="35">
        <f>SUMIF($Z75:$Z10000,"20"&amp;$C74,I75:I10000)</f>
        <v>0</v>
      </c>
      <c r="J74" s="36">
        <f>SUMIF($Z75:$Z10000,"20"&amp;$C74,J75:J10000)</f>
        <v>0</v>
      </c>
      <c r="K74" s="25"/>
      <c r="L74" s="26"/>
      <c r="X74" s="2">
        <v>202</v>
      </c>
    </row>
    <row r="75" spans="6:27" ht="19.5" customHeight="1" hidden="1">
      <c r="F75" s="16">
        <v>0</v>
      </c>
      <c r="G75" s="16">
        <v>0</v>
      </c>
      <c r="H75" s="16">
        <v>0</v>
      </c>
      <c r="I75" s="17">
        <v>0</v>
      </c>
      <c r="J75" s="18">
        <v>0</v>
      </c>
      <c r="K75" s="19"/>
      <c r="L75" s="20"/>
      <c r="X75" s="2">
        <v>204</v>
      </c>
      <c r="Y75" s="2" t="s">
        <v>100</v>
      </c>
      <c r="Z75" s="2" t="s">
        <v>101</v>
      </c>
      <c r="AA75" s="2">
        <v>20</v>
      </c>
    </row>
    <row r="76" spans="1:24" ht="19.5" customHeight="1">
      <c r="A76" s="9" t="s">
        <v>102</v>
      </c>
      <c r="B76" s="10" t="s">
        <v>103</v>
      </c>
      <c r="C76" s="6"/>
      <c r="D76" s="6"/>
      <c r="E76" s="6"/>
      <c r="F76" s="27"/>
      <c r="G76" s="27"/>
      <c r="H76" s="27"/>
      <c r="I76" s="28">
        <f>SUMIF($AA77:$AA10000,21,I77:I10000)</f>
        <v>0</v>
      </c>
      <c r="J76" s="29">
        <f>SUMIF($AA77:$AA10000,21,J77:J10000)</f>
        <v>0</v>
      </c>
      <c r="K76" s="25"/>
      <c r="L76" s="26"/>
      <c r="W76" s="2">
        <v>1</v>
      </c>
      <c r="X76" s="2">
        <v>211</v>
      </c>
    </row>
    <row r="77" spans="1:24" ht="19.5" customHeight="1" hidden="1">
      <c r="A77" s="6"/>
      <c r="B77" s="6"/>
      <c r="C77" s="21" t="s">
        <v>103</v>
      </c>
      <c r="D77" s="6"/>
      <c r="E77" s="6"/>
      <c r="F77" s="34">
        <f>SUMIF($Z78:$Z10000,"21"&amp;$C77,F78:F10000)</f>
        <v>0</v>
      </c>
      <c r="G77" s="34">
        <f>SUMIF($Z78:$Z10000,"21"&amp;$C77,G78:G10000)</f>
        <v>0</v>
      </c>
      <c r="H77" s="34">
        <f>SUMIF($Z78:$Z10000,"21"&amp;$C77,H78:H10000)</f>
        <v>0</v>
      </c>
      <c r="I77" s="35">
        <f>SUMIF($Z78:$Z10000,"21"&amp;$C77,I78:I10000)</f>
        <v>0</v>
      </c>
      <c r="J77" s="36">
        <f>SUMIF($Z78:$Z10000,"21"&amp;$C77,J78:J10000)</f>
        <v>0</v>
      </c>
      <c r="K77" s="25"/>
      <c r="L77" s="26"/>
      <c r="X77" s="2">
        <v>212</v>
      </c>
    </row>
    <row r="78" spans="6:27" ht="19.5" customHeight="1" hidden="1">
      <c r="F78" s="16">
        <v>0</v>
      </c>
      <c r="G78" s="16">
        <v>0</v>
      </c>
      <c r="H78" s="16">
        <v>0</v>
      </c>
      <c r="I78" s="17">
        <v>0</v>
      </c>
      <c r="J78" s="18">
        <v>0</v>
      </c>
      <c r="K78" s="19"/>
      <c r="L78" s="20"/>
      <c r="X78" s="2">
        <v>214</v>
      </c>
      <c r="Y78" s="2" t="s">
        <v>104</v>
      </c>
      <c r="Z78" s="2" t="s">
        <v>105</v>
      </c>
      <c r="AA78" s="2">
        <v>21</v>
      </c>
    </row>
    <row r="79" spans="1:24" ht="19.5" customHeight="1">
      <c r="A79" s="9" t="s">
        <v>106</v>
      </c>
      <c r="B79" s="10" t="s">
        <v>107</v>
      </c>
      <c r="C79" s="6"/>
      <c r="D79" s="6"/>
      <c r="E79" s="6"/>
      <c r="F79" s="27"/>
      <c r="G79" s="27"/>
      <c r="H79" s="27"/>
      <c r="I79" s="28">
        <f>SUMIF($AA80:$AA10000,22,I80:I10000)</f>
        <v>0</v>
      </c>
      <c r="J79" s="29">
        <f>SUMIF($AA80:$AA10000,22,J80:J10000)</f>
        <v>0</v>
      </c>
      <c r="K79" s="25"/>
      <c r="L79" s="26"/>
      <c r="W79" s="2">
        <v>1</v>
      </c>
      <c r="X79" s="2">
        <v>221</v>
      </c>
    </row>
    <row r="80" spans="1:24" ht="19.5" customHeight="1" hidden="1">
      <c r="A80" s="6"/>
      <c r="B80" s="6"/>
      <c r="C80" s="21" t="s">
        <v>107</v>
      </c>
      <c r="D80" s="6"/>
      <c r="E80" s="6"/>
      <c r="F80" s="34">
        <f>SUMIF($Z81:$Z10000,"22"&amp;$C80,F81:F10000)</f>
        <v>0</v>
      </c>
      <c r="G80" s="34">
        <f>SUMIF($Z81:$Z10000,"22"&amp;$C80,G81:G10000)</f>
        <v>0</v>
      </c>
      <c r="H80" s="34">
        <f>SUMIF($Z81:$Z10000,"22"&amp;$C80,H81:H10000)</f>
        <v>0</v>
      </c>
      <c r="I80" s="35">
        <f>SUMIF($Z81:$Z10000,"22"&amp;$C80,I81:I10000)</f>
        <v>0</v>
      </c>
      <c r="J80" s="36">
        <f>SUMIF($Z81:$Z10000,"22"&amp;$C80,J81:J10000)</f>
        <v>0</v>
      </c>
      <c r="K80" s="25"/>
      <c r="L80" s="26"/>
      <c r="X80" s="2">
        <v>222</v>
      </c>
    </row>
    <row r="81" spans="6:27" ht="19.5" customHeight="1" hidden="1">
      <c r="F81" s="16">
        <v>0</v>
      </c>
      <c r="G81" s="16">
        <v>0</v>
      </c>
      <c r="H81" s="16">
        <v>0</v>
      </c>
      <c r="I81" s="17">
        <v>0</v>
      </c>
      <c r="J81" s="18">
        <v>0</v>
      </c>
      <c r="K81" s="19"/>
      <c r="L81" s="20"/>
      <c r="X81" s="2">
        <v>224</v>
      </c>
      <c r="Y81" s="2" t="s">
        <v>108</v>
      </c>
      <c r="Z81" s="2" t="s">
        <v>109</v>
      </c>
      <c r="AA81" s="2">
        <v>22</v>
      </c>
    </row>
    <row r="82" spans="1:24" ht="19.5" customHeight="1">
      <c r="A82" s="9" t="s">
        <v>110</v>
      </c>
      <c r="B82" s="10" t="s">
        <v>111</v>
      </c>
      <c r="C82" s="6"/>
      <c r="D82" s="6"/>
      <c r="E82" s="6"/>
      <c r="F82" s="27"/>
      <c r="G82" s="27"/>
      <c r="H82" s="27"/>
      <c r="I82" s="28">
        <f>SUMIF($AA83:$AA10000,23,I83:I10000)</f>
        <v>-560118</v>
      </c>
      <c r="J82" s="29">
        <f>SUMIF($AA83:$AA10000,23,J83:J10000)</f>
        <v>-0.088822</v>
      </c>
      <c r="K82" s="25"/>
      <c r="L82" s="26"/>
      <c r="W82" s="2">
        <v>1</v>
      </c>
      <c r="X82" s="2">
        <v>231</v>
      </c>
    </row>
    <row r="83" spans="1:24" ht="19.5" customHeight="1" hidden="1">
      <c r="A83" s="6"/>
      <c r="B83" s="6"/>
      <c r="C83" s="21" t="s">
        <v>111</v>
      </c>
      <c r="D83" s="6"/>
      <c r="E83" s="6"/>
      <c r="F83" s="34">
        <f>SUMIF($Z84:$Z10000,"23"&amp;$C83,F84:F10000)</f>
        <v>0</v>
      </c>
      <c r="G83" s="34">
        <f>SUMIF($Z84:$Z10000,"23"&amp;$C83,G84:G10000)</f>
        <v>-560118</v>
      </c>
      <c r="H83" s="34">
        <f>SUMIF($Z84:$Z10000,"23"&amp;$C83,H84:H10000)</f>
        <v>0</v>
      </c>
      <c r="I83" s="35">
        <f>SUMIF($Z84:$Z10000,"23"&amp;$C83,I84:I10000)</f>
        <v>-560118</v>
      </c>
      <c r="J83" s="36">
        <f>SUMIF($Z84:$Z10000,"23"&amp;$C83,J84:J10000)</f>
        <v>-0.088822</v>
      </c>
      <c r="K83" s="25"/>
      <c r="L83" s="26"/>
      <c r="X83" s="2">
        <v>232</v>
      </c>
    </row>
    <row r="84" spans="6:27" ht="19.5" customHeight="1" hidden="1">
      <c r="F84" s="16">
        <v>0</v>
      </c>
      <c r="G84" s="16">
        <v>-560118</v>
      </c>
      <c r="H84" s="16">
        <v>0</v>
      </c>
      <c r="I84" s="17">
        <v>-560118</v>
      </c>
      <c r="J84" s="18">
        <v>-0.088822</v>
      </c>
      <c r="K84" s="19"/>
      <c r="L84" s="20"/>
      <c r="X84" s="2">
        <v>234</v>
      </c>
      <c r="Y84" s="2" t="s">
        <v>112</v>
      </c>
      <c r="Z84" s="2" t="s">
        <v>113</v>
      </c>
      <c r="AA84" s="2">
        <v>23</v>
      </c>
    </row>
    <row r="85" spans="1:24" ht="19.5" customHeight="1">
      <c r="A85" s="9" t="s">
        <v>114</v>
      </c>
      <c r="B85" s="10" t="s">
        <v>115</v>
      </c>
      <c r="C85" s="6"/>
      <c r="D85" s="6"/>
      <c r="E85" s="6"/>
      <c r="F85" s="27"/>
      <c r="G85" s="27"/>
      <c r="H85" s="27"/>
      <c r="I85" s="28">
        <f>SUMIF($AA86:$AA10000,24,I86:I10000)</f>
        <v>-290701.74</v>
      </c>
      <c r="J85" s="29">
        <f>SUMIF($AA86:$AA10000,24,J86:J10000)</f>
        <v>-0.046099</v>
      </c>
      <c r="K85" s="25"/>
      <c r="L85" s="26"/>
      <c r="W85" s="2">
        <v>1</v>
      </c>
      <c r="X85" s="2">
        <v>241</v>
      </c>
    </row>
    <row r="86" spans="1:24" ht="19.5" customHeight="1" hidden="1">
      <c r="A86" s="6"/>
      <c r="B86" s="6"/>
      <c r="C86" s="21" t="s">
        <v>115</v>
      </c>
      <c r="D86" s="6"/>
      <c r="E86" s="6"/>
      <c r="F86" s="34">
        <f>SUMIF($Z87:$Z10000,"24"&amp;$C86,F87:F10000)</f>
        <v>0</v>
      </c>
      <c r="G86" s="34">
        <f>SUMIF($Z87:$Z10000,"24"&amp;$C86,G87:G10000)</f>
        <v>-236481.66</v>
      </c>
      <c r="H86" s="34">
        <f>SUMIF($Z87:$Z10000,"24"&amp;$C86,H87:H10000)</f>
        <v>0</v>
      </c>
      <c r="I86" s="35">
        <f>SUMIF($Z87:$Z10000,"24"&amp;$C86,I87:I10000)</f>
        <v>-290701.74</v>
      </c>
      <c r="J86" s="36">
        <f>SUMIF($Z87:$Z10000,"24"&amp;$C86,J87:J10000)</f>
        <v>-0.046099</v>
      </c>
      <c r="K86" s="25"/>
      <c r="L86" s="26"/>
      <c r="X86" s="2">
        <v>242</v>
      </c>
    </row>
    <row r="87" spans="6:27" ht="19.5" customHeight="1" hidden="1">
      <c r="F87" s="16">
        <v>0</v>
      </c>
      <c r="G87" s="16">
        <v>-236481.66</v>
      </c>
      <c r="H87" s="16">
        <v>0</v>
      </c>
      <c r="I87" s="17">
        <v>-290701.74</v>
      </c>
      <c r="J87" s="18">
        <v>-0.046099</v>
      </c>
      <c r="K87" s="19"/>
      <c r="L87" s="20"/>
      <c r="X87" s="2">
        <v>244</v>
      </c>
      <c r="Y87" s="2" t="s">
        <v>116</v>
      </c>
      <c r="Z87" s="2" t="s">
        <v>117</v>
      </c>
      <c r="AA87" s="2">
        <v>24</v>
      </c>
    </row>
    <row r="89" spans="1:12" ht="19.5" customHeight="1" thickBot="1">
      <c r="A89" s="4" t="s">
        <v>118</v>
      </c>
      <c r="B89" s="4"/>
      <c r="C89" s="4"/>
      <c r="D89" s="4"/>
      <c r="E89" s="4"/>
      <c r="F89" s="31">
        <f>SUMIF($W8:$W88,1,F8:F88)</f>
        <v>65902455.739999995</v>
      </c>
      <c r="G89" s="31">
        <f>SUMIF($W8:$W88,1,G8:G88)</f>
        <v>601971925.8100001</v>
      </c>
      <c r="H89" s="31">
        <f>SUMIF($W8:$W88,1,H8:H88)</f>
        <v>7044.76</v>
      </c>
      <c r="I89" s="31">
        <f>SUMIF($W8:$W88,1,I8:I88)</f>
        <v>630606488.24</v>
      </c>
      <c r="J89" s="32">
        <f>SUMIF($W8:$W88,1,J8:J88)</f>
        <v>100</v>
      </c>
      <c r="K89" s="33"/>
      <c r="L89" s="33"/>
    </row>
    <row r="90" ht="19.5" customHeight="1" thickTop="1"/>
    <row r="91" spans="1:24" ht="19.5" customHeight="1">
      <c r="A91" s="10"/>
      <c r="B91" s="10" t="s">
        <v>119</v>
      </c>
      <c r="C91" s="6"/>
      <c r="D91" s="6"/>
      <c r="E91" s="6"/>
      <c r="F91" s="27"/>
      <c r="G91" s="27"/>
      <c r="H91" s="27"/>
      <c r="I91" s="37">
        <f>SUMIF($AA92:$AA10000,101,I92:I10000)</f>
        <v>54482573.9742</v>
      </c>
      <c r="J91" s="29"/>
      <c r="K91" s="25"/>
      <c r="L91" s="26"/>
      <c r="W91" s="2">
        <v>1</v>
      </c>
      <c r="X91" s="2">
        <v>1011</v>
      </c>
    </row>
    <row r="92" spans="1:24" ht="19.5" customHeight="1" hidden="1">
      <c r="A92" s="6"/>
      <c r="B92" s="6"/>
      <c r="C92" s="21" t="s">
        <v>119</v>
      </c>
      <c r="D92" s="6"/>
      <c r="E92" s="6"/>
      <c r="F92" s="34">
        <f>SUMIF($Z93:$Z10000,"101"&amp;$C92,F93:F10000)</f>
        <v>0</v>
      </c>
      <c r="G92" s="34">
        <f>SUMIF($Z93:$Z10000,"101"&amp;$C92,G93:G10000)</f>
        <v>0</v>
      </c>
      <c r="H92" s="34">
        <f>SUMIF($Z93:$Z10000,"101"&amp;$C92,H93:H10000)</f>
        <v>0</v>
      </c>
      <c r="I92" s="38">
        <f>SUMIF($Z93:$Z10000,"101"&amp;$C92,I93:I10000)</f>
        <v>54482573.9742</v>
      </c>
      <c r="J92" s="36">
        <f>SUMIF($Z93:$Z10000,"101"&amp;$C92,J93:J10000)</f>
        <v>-100</v>
      </c>
      <c r="K92" s="25"/>
      <c r="L92" s="26"/>
      <c r="X92" s="2">
        <v>1012</v>
      </c>
    </row>
    <row r="93" spans="6:27" ht="19.5" customHeight="1" hidden="1">
      <c r="F93" s="16">
        <v>0</v>
      </c>
      <c r="G93" s="16">
        <v>0</v>
      </c>
      <c r="H93" s="16">
        <v>0</v>
      </c>
      <c r="I93" s="39">
        <v>54482573.9742</v>
      </c>
      <c r="J93" s="18">
        <v>-100</v>
      </c>
      <c r="K93" s="19"/>
      <c r="L93" s="20"/>
      <c r="X93" s="2">
        <v>1014</v>
      </c>
      <c r="Y93" s="2" t="s">
        <v>120</v>
      </c>
      <c r="Z93" s="2" t="s">
        <v>121</v>
      </c>
      <c r="AA93" s="2">
        <v>101</v>
      </c>
    </row>
    <row r="94" spans="1:24" ht="19.5" customHeight="1">
      <c r="A94" s="10"/>
      <c r="B94" s="10" t="s">
        <v>122</v>
      </c>
      <c r="C94" s="6"/>
      <c r="D94" s="6"/>
      <c r="E94" s="6"/>
      <c r="F94" s="27"/>
      <c r="G94" s="27"/>
      <c r="H94" s="27"/>
      <c r="I94" s="37">
        <f>SUMIF($AA95:$AA10000,102,I95:I10000)</f>
        <v>11.5745</v>
      </c>
      <c r="J94" s="29"/>
      <c r="K94" s="25"/>
      <c r="L94" s="26"/>
      <c r="W94" s="2">
        <v>1</v>
      </c>
      <c r="X94" s="2">
        <v>1021</v>
      </c>
    </row>
    <row r="95" spans="1:24" ht="19.5" customHeight="1" hidden="1">
      <c r="A95" s="6"/>
      <c r="B95" s="6"/>
      <c r="C95" s="21" t="s">
        <v>122</v>
      </c>
      <c r="D95" s="6"/>
      <c r="E95" s="6"/>
      <c r="F95" s="34">
        <f>SUMIF($Z96:$Z10000,"102"&amp;$C95,F96:F10000)</f>
        <v>0</v>
      </c>
      <c r="G95" s="34">
        <f>SUMIF($Z96:$Z10000,"102"&amp;$C95,G96:G10000)</f>
        <v>0</v>
      </c>
      <c r="H95" s="34">
        <f>SUMIF($Z96:$Z10000,"102"&amp;$C95,H96:H10000)</f>
        <v>0</v>
      </c>
      <c r="I95" s="38">
        <f>SUMIF($Z96:$Z10000,"102"&amp;$C95,I96:I10000)</f>
        <v>11.5745</v>
      </c>
      <c r="J95" s="36">
        <f>SUMIF($Z96:$Z10000,"102"&amp;$C95,J96:J10000)</f>
        <v>0</v>
      </c>
      <c r="K95" s="25"/>
      <c r="L95" s="26"/>
      <c r="X95" s="2">
        <v>1022</v>
      </c>
    </row>
    <row r="96" spans="6:27" ht="19.5" customHeight="1" hidden="1">
      <c r="F96" s="16">
        <v>0</v>
      </c>
      <c r="G96" s="16">
        <v>0</v>
      </c>
      <c r="H96" s="16">
        <v>0</v>
      </c>
      <c r="I96" s="39">
        <v>11.5745</v>
      </c>
      <c r="J96" s="18">
        <v>0</v>
      </c>
      <c r="K96" s="19"/>
      <c r="L96" s="20"/>
      <c r="X96" s="2">
        <v>1024</v>
      </c>
      <c r="Y96" s="2" t="s">
        <v>123</v>
      </c>
      <c r="Z96" s="2" t="s">
        <v>124</v>
      </c>
      <c r="AA96" s="2">
        <v>102</v>
      </c>
    </row>
    <row r="97" spans="2:12" ht="19.5" customHeight="1">
      <c r="B97" s="6" t="s">
        <v>125</v>
      </c>
      <c r="C97" s="6"/>
      <c r="D97" s="6"/>
      <c r="E97" s="6"/>
      <c r="F97" s="6"/>
      <c r="G97" s="6"/>
      <c r="H97" s="6"/>
      <c r="I97" s="28">
        <v>0.180896</v>
      </c>
      <c r="J97" s="6"/>
      <c r="K97" s="6"/>
      <c r="L97" s="6"/>
    </row>
    <row r="98" spans="2:12" ht="19.5" customHeight="1">
      <c r="B98" s="6" t="s">
        <v>126</v>
      </c>
      <c r="C98" s="6"/>
      <c r="D98" s="6"/>
      <c r="E98" s="6"/>
      <c r="F98" s="6"/>
      <c r="G98" s="6"/>
      <c r="H98" s="6"/>
      <c r="I98" s="28">
        <v>1.3750820000000001</v>
      </c>
      <c r="J98" s="6"/>
      <c r="K98" s="6"/>
      <c r="L98" s="6"/>
    </row>
    <row r="99" ht="19.5" customHeight="1">
      <c r="B99" s="40" t="s">
        <v>127</v>
      </c>
    </row>
    <row r="101" spans="7:12" ht="19.5" customHeight="1">
      <c r="G101" s="3" t="s">
        <v>128</v>
      </c>
      <c r="H101" s="3"/>
      <c r="I101" s="3"/>
      <c r="J101" s="3"/>
      <c r="K101" s="3"/>
      <c r="L101" s="3"/>
    </row>
    <row r="102" ht="45.75" customHeight="1"/>
    <row r="103" spans="7:12" ht="19.5" customHeight="1">
      <c r="G103" s="3" t="s">
        <v>129</v>
      </c>
      <c r="H103" s="3"/>
      <c r="I103" s="3"/>
      <c r="J103" s="3"/>
      <c r="K103" s="3"/>
      <c r="L103" s="3"/>
    </row>
    <row r="104" spans="7:12" ht="19.5" customHeight="1">
      <c r="G104" s="3" t="s">
        <v>130</v>
      </c>
      <c r="H104" s="3"/>
      <c r="I104" s="3"/>
      <c r="J104" s="3"/>
      <c r="K104" s="3"/>
      <c r="L104" s="3"/>
    </row>
    <row r="105" spans="7:12" ht="19.5" customHeight="1">
      <c r="G105" s="3" t="s">
        <v>131</v>
      </c>
      <c r="H105" s="3"/>
      <c r="I105" s="3"/>
      <c r="J105" s="3"/>
      <c r="K105" s="3"/>
      <c r="L105" s="3"/>
    </row>
    <row r="106" spans="7:12" ht="19.5" customHeight="1">
      <c r="G106" s="3"/>
      <c r="H106" s="3"/>
      <c r="I106" s="3"/>
      <c r="J106" s="3"/>
      <c r="K106" s="3"/>
      <c r="L106" s="3"/>
    </row>
  </sheetData>
  <sheetProtection password="C4BA" sheet="1" objects="1" scenarios="1"/>
  <mergeCells count="12">
    <mergeCell ref="A1:L1"/>
    <mergeCell ref="A2:L2"/>
    <mergeCell ref="A3:L3"/>
    <mergeCell ref="K5:L5"/>
    <mergeCell ref="K4:L4"/>
    <mergeCell ref="G104:L104"/>
    <mergeCell ref="G105:L105"/>
    <mergeCell ref="G106:L106"/>
    <mergeCell ref="A68:E68"/>
    <mergeCell ref="A89:E89"/>
    <mergeCell ref="G101:L101"/>
    <mergeCell ref="G103:L103"/>
  </mergeCells>
  <printOptions/>
  <pageMargins left="0.39" right="0.19" top="0.44" bottom="0.94" header="0.79" footer="0.16"/>
  <pageSetup fitToHeight="20" fitToWidth="1" horizontalDpi="600" verticalDpi="600" orientation="landscape" paperSize="9" r:id="rId2"/>
  <headerFooter alignWithMargins="0">
    <oddFooter>&amp;Cหน้าที่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Siam Commercial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Marwin</dc:creator>
  <cp:keywords/>
  <dc:description/>
  <cp:lastModifiedBy>Marwin</cp:lastModifiedBy>
  <dcterms:created xsi:type="dcterms:W3CDTF">2016-10-11T08:06:01Z</dcterms:created>
  <dcterms:modified xsi:type="dcterms:W3CDTF">2016-10-11T08:06:01Z</dcterms:modified>
  <cp:category/>
  <cp:version/>
  <cp:contentType/>
  <cp:contentStatus/>
</cp:coreProperties>
</file>